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05" windowWidth="11445" windowHeight="6225" activeTab="0"/>
  </bookViews>
  <sheets>
    <sheet name="vyse_duchodu" sheetId="1" r:id="rId1"/>
  </sheets>
  <definedNames>
    <definedName name="MTC">'vyse_duchodu'!$F$8:$O$33</definedName>
    <definedName name="_xlnm.Print_Area" localSheetId="0">'vyse_duchodu'!$A$1:$L$42</definedName>
    <definedName name="RP">'vyse_duchodu'!$G$2</definedName>
  </definedNames>
  <calcPr fullCalcOnLoad="1"/>
</workbook>
</file>

<file path=xl/sharedStrings.xml><?xml version="1.0" encoding="utf-8"?>
<sst xmlns="http://schemas.openxmlformats.org/spreadsheetml/2006/main" count="80" uniqueCount="71">
  <si>
    <t>Orientační výpočet výše starobního důchodu při jeho přiznání</t>
  </si>
  <si>
    <t>pro důchody přiznané v roce</t>
  </si>
  <si>
    <t>VVZ</t>
  </si>
  <si>
    <t>Vyplňte prosím do zelených buněk rok přiznání důchodu, výše vyměřovacích základů, vyloučených dob a dobu pojištění</t>
  </si>
  <si>
    <t>indikace chyby</t>
  </si>
  <si>
    <t>V</t>
  </si>
  <si>
    <t xml:space="preserve">Vyměřovací </t>
  </si>
  <si>
    <t>Vyloučené</t>
  </si>
  <si>
    <t>Koeficient</t>
  </si>
  <si>
    <t>Roční</t>
  </si>
  <si>
    <t>POZOR ! Je vyplněna doba za přesluhování a současně doba za předčasný odchod do důchodu, což není možné !</t>
  </si>
  <si>
    <t xml:space="preserve"> Počet let pojištění ke dni vzniku nároku na důchod</t>
  </si>
  <si>
    <t>roce</t>
  </si>
  <si>
    <t>základ</t>
  </si>
  <si>
    <t>doby</t>
  </si>
  <si>
    <t>nárůstu</t>
  </si>
  <si>
    <t>vyměřovací</t>
  </si>
  <si>
    <t>POZOR ! Je vyplněna doba pro trvale krácený i dočasně krácený předčasný starobní důchodu, což není možné !</t>
  </si>
  <si>
    <t>se sazbou 1,5%</t>
  </si>
  <si>
    <t>(Kč)</t>
  </si>
  <si>
    <t>(dny)</t>
  </si>
  <si>
    <t>30.9..1996 se základní výměra zvýšila na 1060 Kč a procentní výměra o dalších 6%.</t>
  </si>
  <si>
    <t xml:space="preserve">    před 1.7.2001 </t>
  </si>
  <si>
    <t>31.3.1996 se základní výměra zvýšila na 920 Kč a procentní výměra o 8%</t>
  </si>
  <si>
    <t xml:space="preserve">    po 30.6.2001</t>
  </si>
  <si>
    <t>31.7.1997 se základní výměra zvýšila na 1260 Kč a procentní výměra o 8%.</t>
  </si>
  <si>
    <t>30.6.1998 se základní výměra zvýšila na 1310 Kč a procentní výměra o 5%.</t>
  </si>
  <si>
    <t xml:space="preserve"> 90 dnů chybějících do dosažení důchodového věku)</t>
  </si>
  <si>
    <t>31.7.1999 se procentní výměra zvýšila o 5%.</t>
  </si>
  <si>
    <t>30.11.2000 se procentní výměra zvýšila o 5%.</t>
  </si>
  <si>
    <t>30.11.2001 se procentní výměra zvýšila o 8%.</t>
  </si>
  <si>
    <t xml:space="preserve"> Procentní sazby pro stanovení procentní výměry důchodu</t>
  </si>
  <si>
    <t xml:space="preserve">   za dobu pojištění do vzniku nároku na důchod</t>
  </si>
  <si>
    <t xml:space="preserve">   za přesluhování</t>
  </si>
  <si>
    <t xml:space="preserve">   za předčasný odchod do důchodu</t>
  </si>
  <si>
    <t>celkem</t>
  </si>
  <si>
    <t xml:space="preserve"> Rozhodné období tvoří roky</t>
  </si>
  <si>
    <t>1986  -</t>
  </si>
  <si>
    <t xml:space="preserve"> Úhrn ročních vyměřovacích základů</t>
  </si>
  <si>
    <t xml:space="preserve"> Počet dnů</t>
  </si>
  <si>
    <t>v rozhodném období</t>
  </si>
  <si>
    <t>vyloučených</t>
  </si>
  <si>
    <t xml:space="preserve"> Osobní vyměřovací základ</t>
  </si>
  <si>
    <t xml:space="preserve"> Redukční hranice</t>
  </si>
  <si>
    <t>Výpočtový základ :</t>
  </si>
  <si>
    <t>základní výměra důchodu</t>
  </si>
  <si>
    <t>procentní výměra důchodu</t>
  </si>
  <si>
    <t>úhrnná výše důchodu</t>
  </si>
  <si>
    <t>Všeobecný</t>
  </si>
  <si>
    <t>Přepočítací</t>
  </si>
  <si>
    <t>koeficient</t>
  </si>
  <si>
    <t xml:space="preserve">Redukční </t>
  </si>
  <si>
    <t>hranice</t>
  </si>
  <si>
    <t>I.</t>
  </si>
  <si>
    <t>II.</t>
  </si>
  <si>
    <t>Základní</t>
  </si>
  <si>
    <t>výměra</t>
  </si>
  <si>
    <t>SKRÝT</t>
  </si>
  <si>
    <t>30.6.2008 se základní výměra zvýšila z 1700 Kč na 2170 Kč Kč</t>
  </si>
  <si>
    <t>Zpracováno dne: 16.9.2009</t>
  </si>
  <si>
    <t>ale výpočet je přesto proveden správně jen je třeba dávat pozor</t>
  </si>
  <si>
    <t>na upřesňující poznámky pod tabulkou</t>
  </si>
  <si>
    <t>Použito pro www MPSV</t>
  </si>
  <si>
    <t>kvůli www hlásí nemožnost výpočtu pro přiznání před rokem 2004</t>
  </si>
  <si>
    <r>
      <t xml:space="preserve"> </t>
    </r>
    <r>
      <rPr>
        <u val="single"/>
        <sz val="11"/>
        <rFont val="Times New Roman CE"/>
        <family val="0"/>
      </rPr>
      <t>Při přesluhování</t>
    </r>
    <r>
      <rPr>
        <sz val="11"/>
        <rFont val="Times New Roman CE"/>
        <family val="1"/>
      </rPr>
      <t xml:space="preserve"> - </t>
    </r>
    <r>
      <rPr>
        <sz val="9"/>
        <rFont val="Times New Roman CE"/>
        <family val="1"/>
      </rPr>
      <t>výdělečná činnost po dosažení důchodového věku</t>
    </r>
  </si>
  <si>
    <r>
      <t xml:space="preserve"> </t>
    </r>
    <r>
      <rPr>
        <u val="single"/>
        <sz val="11"/>
        <rFont val="Times New Roman CE"/>
        <family val="0"/>
      </rPr>
      <t>Při předčasném odchodu</t>
    </r>
    <r>
      <rPr>
        <sz val="11"/>
        <rFont val="Times New Roman CE"/>
        <family val="1"/>
      </rPr>
      <t xml:space="preserve"> - počet čtvrtletí (každých započatých </t>
    </r>
  </si>
  <si>
    <r>
      <t xml:space="preserve"> </t>
    </r>
    <r>
      <rPr>
        <b/>
        <u val="single"/>
        <sz val="11"/>
        <rFont val="Times New Roman CE"/>
        <family val="0"/>
      </rPr>
      <t>Doba pojištění</t>
    </r>
  </si>
  <si>
    <t xml:space="preserve"> bez pobírání důchodu - počet čtvrtletí (ukončených 90 dnů)  </t>
  </si>
  <si>
    <t>zvýšení sazby o 1,0%</t>
  </si>
  <si>
    <t>zvýšení sazby o 1,5%</t>
  </si>
  <si>
    <t>trvale krácené (§31)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</si>
</sst>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0.0%"/>
    <numFmt numFmtId="171" formatCode="0.0000"/>
    <numFmt numFmtId="172" formatCode="0.0"/>
    <numFmt numFmtId="173" formatCode="#,##0.0_K"/>
    <numFmt numFmtId="174" formatCode="#,##0.0000_K"/>
    <numFmt numFmtId="175" formatCode="###0_K"/>
    <numFmt numFmtId="176" formatCode="#,##0\ &quot;Kč&quot;"/>
    <numFmt numFmtId="177" formatCode="#,##0.0_k%_K"/>
    <numFmt numFmtId="178" formatCode="#,##0\ &quot;Kč&quot;_K"/>
    <numFmt numFmtId="179" formatCode="#,##0_K_K"/>
    <numFmt numFmtId="180" formatCode="#,##0.000_K"/>
    <numFmt numFmtId="181" formatCode="#,##0.00_K"/>
  </numFmts>
  <fonts count="19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1"/>
      <color indexed="13"/>
      <name val="Times New Roman CE"/>
      <family val="1"/>
    </font>
    <font>
      <b/>
      <i/>
      <sz val="11"/>
      <color indexed="10"/>
      <name val="Times New Roman CE"/>
      <family val="0"/>
    </font>
    <font>
      <i/>
      <sz val="11"/>
      <name val="Times New Roman CE"/>
      <family val="1"/>
    </font>
    <font>
      <b/>
      <u val="single"/>
      <sz val="11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3"/>
      <name val="Times New Roman CE"/>
      <family val="1"/>
    </font>
    <font>
      <u val="single"/>
      <sz val="11"/>
      <name val="Times New Roman CE"/>
      <family val="0"/>
    </font>
    <font>
      <sz val="9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5" fontId="8" fillId="0" borderId="0" xfId="20" applyFont="1" applyFill="1" applyProtection="1">
      <alignment/>
      <protection locked="0"/>
    </xf>
    <xf numFmtId="165" fontId="9" fillId="0" borderId="0" xfId="20" applyFont="1" applyFill="1" applyAlignment="1" applyProtection="1">
      <alignment horizontal="center" vertical="center"/>
      <protection/>
    </xf>
    <xf numFmtId="165" fontId="8" fillId="0" borderId="0" xfId="20" applyFont="1" applyProtection="1">
      <alignment/>
      <protection/>
    </xf>
    <xf numFmtId="165" fontId="10" fillId="0" borderId="0" xfId="20" applyFont="1" applyFill="1" applyAlignment="1" applyProtection="1">
      <alignment horizontal="center"/>
      <protection/>
    </xf>
    <xf numFmtId="165" fontId="10" fillId="0" borderId="0" xfId="20" applyFont="1" applyFill="1" applyAlignment="1" applyProtection="1">
      <alignment horizontal="right"/>
      <protection/>
    </xf>
    <xf numFmtId="1" fontId="10" fillId="2" borderId="0" xfId="20" applyNumberFormat="1" applyFont="1" applyFill="1" applyAlignment="1" applyProtection="1">
      <alignment horizontal="center"/>
      <protection locked="0"/>
    </xf>
    <xf numFmtId="165" fontId="11" fillId="0" borderId="0" xfId="20" applyFont="1" applyFill="1" applyAlignment="1" applyProtection="1">
      <alignment horizontal="left"/>
      <protection/>
    </xf>
    <xf numFmtId="174" fontId="8" fillId="0" borderId="0" xfId="20" applyNumberFormat="1" applyFont="1" applyProtection="1">
      <alignment/>
      <protection/>
    </xf>
    <xf numFmtId="1" fontId="10" fillId="3" borderId="0" xfId="20" applyNumberFormat="1" applyFont="1" applyFill="1" applyAlignment="1" applyProtection="1">
      <alignment horizontal="center"/>
      <protection/>
    </xf>
    <xf numFmtId="165" fontId="13" fillId="0" borderId="0" xfId="20" applyFont="1" applyFill="1" applyAlignment="1" applyProtection="1">
      <alignment horizontal="center"/>
      <protection/>
    </xf>
    <xf numFmtId="165" fontId="14" fillId="0" borderId="1" xfId="20" applyFont="1" applyFill="1" applyBorder="1" applyProtection="1">
      <alignment/>
      <protection/>
    </xf>
    <xf numFmtId="165" fontId="8" fillId="0" borderId="2" xfId="20" applyFont="1" applyFill="1" applyBorder="1" applyProtection="1">
      <alignment/>
      <protection/>
    </xf>
    <xf numFmtId="165" fontId="8" fillId="0" borderId="3" xfId="20" applyFont="1" applyFill="1" applyBorder="1" applyProtection="1">
      <alignment/>
      <protection/>
    </xf>
    <xf numFmtId="165" fontId="8" fillId="0" borderId="0" xfId="20" applyFont="1" applyFill="1" applyProtection="1">
      <alignment/>
      <protection/>
    </xf>
    <xf numFmtId="165" fontId="10" fillId="4" borderId="4" xfId="20" applyFont="1" applyFill="1" applyBorder="1" applyAlignment="1" applyProtection="1">
      <alignment horizontal="center"/>
      <protection/>
    </xf>
    <xf numFmtId="165" fontId="10" fillId="4" borderId="5" xfId="20" applyFont="1" applyFill="1" applyBorder="1" applyAlignment="1" applyProtection="1">
      <alignment horizontal="center"/>
      <protection/>
    </xf>
    <xf numFmtId="165" fontId="10" fillId="4" borderId="3" xfId="20" applyFont="1" applyFill="1" applyBorder="1" applyAlignment="1" applyProtection="1">
      <alignment horizontal="center"/>
      <protection/>
    </xf>
    <xf numFmtId="174" fontId="8" fillId="0" borderId="5" xfId="20" applyNumberFormat="1" applyFont="1" applyBorder="1" applyAlignment="1" applyProtection="1">
      <alignment horizontal="center"/>
      <protection/>
    </xf>
    <xf numFmtId="165" fontId="8" fillId="0" borderId="3" xfId="20" applyNumberFormat="1" applyFont="1" applyBorder="1" applyAlignment="1" applyProtection="1">
      <alignment horizontal="center"/>
      <protection/>
    </xf>
    <xf numFmtId="165" fontId="8" fillId="0" borderId="0" xfId="20" applyNumberFormat="1" applyFont="1" applyFill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5" fontId="8" fillId="0" borderId="7" xfId="20" applyFont="1" applyFill="1" applyBorder="1" applyProtection="1">
      <alignment/>
      <protection/>
    </xf>
    <xf numFmtId="165" fontId="10" fillId="4" borderId="8" xfId="20" applyFont="1" applyFill="1" applyBorder="1" applyAlignment="1" applyProtection="1">
      <alignment horizontal="center"/>
      <protection/>
    </xf>
    <xf numFmtId="165" fontId="10" fillId="4" borderId="9" xfId="20" applyFont="1" applyFill="1" applyBorder="1" applyAlignment="1" applyProtection="1">
      <alignment horizontal="center"/>
      <protection/>
    </xf>
    <xf numFmtId="165" fontId="10" fillId="4" borderId="7" xfId="20" applyFont="1" applyFill="1" applyBorder="1" applyAlignment="1" applyProtection="1">
      <alignment horizontal="center"/>
      <protection/>
    </xf>
    <xf numFmtId="174" fontId="8" fillId="0" borderId="9" xfId="20" applyNumberFormat="1" applyFont="1" applyBorder="1" applyAlignment="1" applyProtection="1">
      <alignment horizontal="center"/>
      <protection/>
    </xf>
    <xf numFmtId="165" fontId="8" fillId="0" borderId="7" xfId="20" applyNumberFormat="1" applyFont="1" applyBorder="1" applyAlignment="1" applyProtection="1">
      <alignment horizontal="center"/>
      <protection/>
    </xf>
    <xf numFmtId="165" fontId="8" fillId="0" borderId="6" xfId="20" applyFont="1" applyFill="1" applyBorder="1" applyProtection="1">
      <alignment/>
      <protection/>
    </xf>
    <xf numFmtId="165" fontId="8" fillId="0" borderId="0" xfId="20" applyFont="1" applyFill="1" applyBorder="1" applyProtection="1">
      <alignment/>
      <protection/>
    </xf>
    <xf numFmtId="165" fontId="8" fillId="0" borderId="0" xfId="20" applyFont="1" applyFill="1" applyBorder="1" applyAlignment="1" applyProtection="1">
      <alignment horizontal="right"/>
      <protection/>
    </xf>
    <xf numFmtId="165" fontId="10" fillId="2" borderId="7" xfId="0" applyNumberFormat="1" applyFont="1" applyFill="1" applyBorder="1" applyAlignment="1" applyProtection="1">
      <alignment horizontal="center"/>
      <protection locked="0"/>
    </xf>
    <xf numFmtId="165" fontId="10" fillId="4" borderId="10" xfId="20" applyFont="1" applyFill="1" applyBorder="1" applyAlignment="1" applyProtection="1">
      <alignment horizontal="center"/>
      <protection/>
    </xf>
    <xf numFmtId="165" fontId="8" fillId="4" borderId="11" xfId="20" applyFont="1" applyFill="1" applyBorder="1" applyAlignment="1" applyProtection="1">
      <alignment horizontal="center"/>
      <protection/>
    </xf>
    <xf numFmtId="165" fontId="8" fillId="4" borderId="12" xfId="20" applyFont="1" applyFill="1" applyBorder="1" applyAlignment="1" applyProtection="1">
      <alignment horizontal="center"/>
      <protection/>
    </xf>
    <xf numFmtId="174" fontId="8" fillId="0" borderId="11" xfId="20" applyNumberFormat="1" applyFont="1" applyBorder="1" applyAlignment="1" applyProtection="1">
      <alignment horizontal="center"/>
      <protection/>
    </xf>
    <xf numFmtId="165" fontId="8" fillId="0" borderId="12" xfId="20" applyNumberFormat="1" applyFont="1" applyBorder="1" applyAlignment="1" applyProtection="1">
      <alignment horizontal="center"/>
      <protection/>
    </xf>
    <xf numFmtId="1" fontId="10" fillId="4" borderId="8" xfId="20" applyNumberFormat="1" applyFont="1" applyFill="1" applyBorder="1" applyAlignment="1" applyProtection="1">
      <alignment horizontal="center"/>
      <protection/>
    </xf>
    <xf numFmtId="165" fontId="10" fillId="2" borderId="9" xfId="20" applyFont="1" applyFill="1" applyBorder="1" applyProtection="1">
      <alignment/>
      <protection locked="0"/>
    </xf>
    <xf numFmtId="179" fontId="10" fillId="2" borderId="7" xfId="20" applyNumberFormat="1" applyFont="1" applyFill="1" applyBorder="1" applyProtection="1">
      <alignment/>
      <protection locked="0"/>
    </xf>
    <xf numFmtId="174" fontId="8" fillId="0" borderId="9" xfId="20" applyNumberFormat="1" applyFont="1" applyBorder="1" applyProtection="1">
      <alignment/>
      <protection/>
    </xf>
    <xf numFmtId="165" fontId="8" fillId="0" borderId="7" xfId="20" applyNumberFormat="1" applyFont="1" applyBorder="1" applyProtection="1">
      <alignment/>
      <protection/>
    </xf>
    <xf numFmtId="1" fontId="10" fillId="4" borderId="10" xfId="20" applyNumberFormat="1" applyFont="1" applyFill="1" applyBorder="1" applyAlignment="1" applyProtection="1">
      <alignment horizontal="center"/>
      <protection/>
    </xf>
    <xf numFmtId="165" fontId="10" fillId="2" borderId="11" xfId="20" applyFont="1" applyFill="1" applyBorder="1" applyProtection="1">
      <alignment/>
      <protection locked="0"/>
    </xf>
    <xf numFmtId="179" fontId="10" fillId="2" borderId="12" xfId="20" applyNumberFormat="1" applyFont="1" applyFill="1" applyBorder="1" applyProtection="1">
      <alignment/>
      <protection locked="0"/>
    </xf>
    <xf numFmtId="174" fontId="8" fillId="0" borderId="11" xfId="20" applyNumberFormat="1" applyFont="1" applyBorder="1" applyProtection="1">
      <alignment/>
      <protection/>
    </xf>
    <xf numFmtId="165" fontId="8" fillId="0" borderId="12" xfId="20" applyNumberFormat="1" applyFont="1" applyBorder="1" applyProtection="1">
      <alignment/>
      <protection/>
    </xf>
    <xf numFmtId="165" fontId="10" fillId="0" borderId="6" xfId="20" applyFont="1" applyFill="1" applyBorder="1" applyProtection="1">
      <alignment/>
      <protection/>
    </xf>
    <xf numFmtId="164" fontId="10" fillId="0" borderId="0" xfId="20" applyNumberFormat="1" applyFont="1" applyFill="1" applyBorder="1" applyAlignment="1" applyProtection="1">
      <alignment horizontal="center"/>
      <protection/>
    </xf>
    <xf numFmtId="177" fontId="8" fillId="0" borderId="7" xfId="21" applyNumberFormat="1" applyFont="1" applyFill="1" applyBorder="1" applyAlignment="1" applyProtection="1">
      <alignment horizontal="right"/>
      <protection/>
    </xf>
    <xf numFmtId="164" fontId="8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8" fillId="0" borderId="13" xfId="20" applyFont="1" applyFill="1" applyBorder="1" applyProtection="1">
      <alignment/>
      <protection/>
    </xf>
    <xf numFmtId="165" fontId="8" fillId="0" borderId="14" xfId="20" applyFont="1" applyFill="1" applyBorder="1" applyProtection="1">
      <alignment/>
      <protection/>
    </xf>
    <xf numFmtId="177" fontId="10" fillId="0" borderId="12" xfId="21" applyNumberFormat="1" applyFont="1" applyFill="1" applyBorder="1" applyAlignment="1" applyProtection="1">
      <alignment horizontal="right"/>
      <protection/>
    </xf>
    <xf numFmtId="1" fontId="8" fillId="0" borderId="3" xfId="20" applyNumberFormat="1" applyFont="1" applyFill="1" applyBorder="1" applyAlignment="1" applyProtection="1">
      <alignment horizontal="center"/>
      <protection/>
    </xf>
    <xf numFmtId="1" fontId="8" fillId="0" borderId="0" xfId="20" applyNumberFormat="1" applyFont="1" applyFill="1" applyBorder="1" applyAlignment="1" applyProtection="1">
      <alignment horizontal="right"/>
      <protection/>
    </xf>
    <xf numFmtId="1" fontId="8" fillId="0" borderId="7" xfId="2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65" fontId="8" fillId="0" borderId="7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65" fontId="8" fillId="0" borderId="0" xfId="20" applyFont="1" applyFill="1" applyBorder="1">
      <alignment/>
      <protection/>
    </xf>
    <xf numFmtId="164" fontId="8" fillId="0" borderId="7" xfId="20" applyNumberFormat="1" applyFont="1" applyFill="1" applyBorder="1" applyProtection="1">
      <alignment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165" fontId="8" fillId="0" borderId="7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right"/>
      <protection/>
    </xf>
    <xf numFmtId="165" fontId="10" fillId="5" borderId="1" xfId="20" applyFont="1" applyFill="1" applyBorder="1" applyProtection="1">
      <alignment/>
      <protection/>
    </xf>
    <xf numFmtId="165" fontId="8" fillId="5" borderId="2" xfId="20" applyFont="1" applyFill="1" applyBorder="1" applyProtection="1">
      <alignment/>
      <protection/>
    </xf>
    <xf numFmtId="165" fontId="8" fillId="5" borderId="3" xfId="20" applyFont="1" applyFill="1" applyBorder="1" applyProtection="1">
      <alignment/>
      <protection/>
    </xf>
    <xf numFmtId="165" fontId="8" fillId="5" borderId="6" xfId="20" applyFont="1" applyFill="1" applyBorder="1" applyProtection="1">
      <alignment/>
      <protection/>
    </xf>
    <xf numFmtId="165" fontId="8" fillId="5" borderId="0" xfId="20" applyFont="1" applyFill="1" applyBorder="1" applyProtection="1">
      <alignment/>
      <protection/>
    </xf>
    <xf numFmtId="178" fontId="8" fillId="5" borderId="7" xfId="20" applyNumberFormat="1" applyFont="1" applyFill="1" applyBorder="1" applyProtection="1">
      <alignment/>
      <protection/>
    </xf>
    <xf numFmtId="165" fontId="8" fillId="0" borderId="0" xfId="20" applyNumberFormat="1" applyFont="1" applyProtection="1">
      <alignment/>
      <protection/>
    </xf>
    <xf numFmtId="165" fontId="10" fillId="0" borderId="0" xfId="20" applyFont="1" applyProtection="1">
      <alignment/>
      <protection/>
    </xf>
    <xf numFmtId="165" fontId="11" fillId="0" borderId="0" xfId="20" applyFont="1" applyProtection="1">
      <alignment/>
      <protection/>
    </xf>
    <xf numFmtId="165" fontId="15" fillId="0" borderId="0" xfId="20" applyFont="1" applyProtection="1">
      <alignment/>
      <protection/>
    </xf>
    <xf numFmtId="165" fontId="10" fillId="0" borderId="0" xfId="20" applyFont="1" applyFill="1" applyProtection="1">
      <alignment/>
      <protection/>
    </xf>
    <xf numFmtId="165" fontId="13" fillId="0" borderId="0" xfId="20" applyNumberFormat="1" applyFont="1" applyFill="1" applyAlignment="1" applyProtection="1">
      <alignment horizontal="center"/>
      <protection/>
    </xf>
    <xf numFmtId="165" fontId="8" fillId="0" borderId="5" xfId="20" applyNumberFormat="1" applyFont="1" applyBorder="1" applyAlignment="1" applyProtection="1">
      <alignment horizontal="center"/>
      <protection/>
    </xf>
    <xf numFmtId="165" fontId="8" fillId="0" borderId="9" xfId="20" applyNumberFormat="1" applyFont="1" applyBorder="1" applyAlignment="1" applyProtection="1">
      <alignment horizontal="center"/>
      <protection/>
    </xf>
    <xf numFmtId="165" fontId="8" fillId="0" borderId="11" xfId="20" applyNumberFormat="1" applyFont="1" applyBorder="1" applyAlignment="1" applyProtection="1">
      <alignment horizontal="center"/>
      <protection/>
    </xf>
    <xf numFmtId="165" fontId="8" fillId="0" borderId="9" xfId="20" applyNumberFormat="1" applyFont="1" applyBorder="1" applyProtection="1">
      <alignment/>
      <protection/>
    </xf>
    <xf numFmtId="165" fontId="8" fillId="0" borderId="11" xfId="20" applyNumberFormat="1" applyFont="1" applyBorder="1" applyProtection="1">
      <alignment/>
      <protection/>
    </xf>
    <xf numFmtId="165" fontId="8" fillId="6" borderId="0" xfId="20" applyFont="1" applyFill="1" applyProtection="1">
      <alignment/>
      <protection/>
    </xf>
    <xf numFmtId="165" fontId="16" fillId="7" borderId="0" xfId="20" applyFont="1" applyFill="1" applyAlignment="1" applyProtection="1">
      <alignment horizontal="center"/>
      <protection/>
    </xf>
    <xf numFmtId="165" fontId="8" fillId="0" borderId="4" xfId="20" applyNumberFormat="1" applyFont="1" applyBorder="1" applyAlignment="1" applyProtection="1">
      <alignment horizontal="center"/>
      <protection/>
    </xf>
    <xf numFmtId="165" fontId="8" fillId="0" borderId="8" xfId="20" applyNumberFormat="1" applyFont="1" applyBorder="1" applyAlignment="1" applyProtection="1">
      <alignment horizontal="center"/>
      <protection/>
    </xf>
    <xf numFmtId="165" fontId="8" fillId="0" borderId="10" xfId="20" applyNumberFormat="1" applyFont="1" applyBorder="1" applyAlignment="1" applyProtection="1">
      <alignment horizontal="center"/>
      <protection/>
    </xf>
    <xf numFmtId="165" fontId="8" fillId="0" borderId="8" xfId="20" applyNumberFormat="1" applyFont="1" applyBorder="1" applyProtection="1">
      <alignment/>
      <protection/>
    </xf>
    <xf numFmtId="165" fontId="8" fillId="0" borderId="10" xfId="20" applyNumberFormat="1" applyFont="1" applyBorder="1" applyProtection="1">
      <alignment/>
      <protection/>
    </xf>
    <xf numFmtId="164" fontId="8" fillId="0" borderId="10" xfId="20" applyNumberFormat="1" applyFont="1" applyBorder="1" applyAlignment="1" applyProtection="1">
      <alignment horizontal="center"/>
      <protection/>
    </xf>
    <xf numFmtId="174" fontId="8" fillId="0" borderId="8" xfId="20" applyNumberFormat="1" applyFont="1" applyBorder="1" applyProtection="1">
      <alignment/>
      <protection/>
    </xf>
    <xf numFmtId="174" fontId="8" fillId="0" borderId="10" xfId="20" applyNumberFormat="1" applyFont="1" applyBorder="1" applyProtection="1">
      <alignment/>
      <protection/>
    </xf>
    <xf numFmtId="1" fontId="10" fillId="4" borderId="4" xfId="20" applyNumberFormat="1" applyFont="1" applyFill="1" applyBorder="1" applyAlignment="1" applyProtection="1">
      <alignment horizontal="center"/>
      <protection/>
    </xf>
    <xf numFmtId="165" fontId="10" fillId="2" borderId="5" xfId="20" applyFont="1" applyFill="1" applyBorder="1" applyProtection="1">
      <alignment/>
      <protection locked="0"/>
    </xf>
    <xf numFmtId="179" fontId="10" fillId="2" borderId="3" xfId="20" applyNumberFormat="1" applyFont="1" applyFill="1" applyBorder="1" applyProtection="1">
      <alignment/>
      <protection locked="0"/>
    </xf>
    <xf numFmtId="174" fontId="8" fillId="0" borderId="5" xfId="20" applyNumberFormat="1" applyFont="1" applyBorder="1" applyProtection="1">
      <alignment/>
      <protection/>
    </xf>
    <xf numFmtId="165" fontId="8" fillId="0" borderId="3" xfId="20" applyNumberFormat="1" applyFont="1" applyBorder="1" applyProtection="1">
      <alignment/>
      <protection/>
    </xf>
    <xf numFmtId="165" fontId="8" fillId="0" borderId="5" xfId="20" applyNumberFormat="1" applyFont="1" applyBorder="1" applyProtection="1">
      <alignment/>
      <protection/>
    </xf>
    <xf numFmtId="165" fontId="8" fillId="0" borderId="4" xfId="20" applyNumberFormat="1" applyFont="1" applyBorder="1" applyProtection="1">
      <alignment/>
      <protection/>
    </xf>
    <xf numFmtId="165" fontId="8" fillId="0" borderId="9" xfId="20" applyNumberFormat="1" applyFont="1" applyFill="1" applyBorder="1" applyProtection="1">
      <alignment/>
      <protection/>
    </xf>
    <xf numFmtId="165" fontId="8" fillId="0" borderId="8" xfId="20" applyNumberFormat="1" applyFont="1" applyFill="1" applyBorder="1" applyProtection="1">
      <alignment/>
      <protection/>
    </xf>
    <xf numFmtId="1" fontId="10" fillId="6" borderId="2" xfId="20" applyNumberFormat="1" applyFont="1" applyFill="1" applyBorder="1" applyAlignment="1" applyProtection="1">
      <alignment horizontal="center"/>
      <protection/>
    </xf>
    <xf numFmtId="174" fontId="8" fillId="6" borderId="2" xfId="20" applyNumberFormat="1" applyFont="1" applyFill="1" applyBorder="1" applyProtection="1">
      <alignment/>
      <protection/>
    </xf>
    <xf numFmtId="165" fontId="8" fillId="6" borderId="2" xfId="20" applyNumberFormat="1" applyFont="1" applyFill="1" applyBorder="1" applyProtection="1">
      <alignment/>
      <protection/>
    </xf>
    <xf numFmtId="165" fontId="10" fillId="5" borderId="0" xfId="20" applyFont="1" applyFill="1" applyBorder="1" applyProtection="1">
      <alignment/>
      <protection/>
    </xf>
    <xf numFmtId="165" fontId="8" fillId="0" borderId="0" xfId="20" applyNumberFormat="1" applyFont="1" applyFill="1" applyBorder="1" applyProtection="1">
      <alignment/>
      <protection/>
    </xf>
    <xf numFmtId="178" fontId="10" fillId="5" borderId="7" xfId="20" applyNumberFormat="1" applyFont="1" applyFill="1" applyBorder="1" applyProtection="1">
      <alignment/>
      <protection/>
    </xf>
    <xf numFmtId="179" fontId="10" fillId="6" borderId="2" xfId="20" applyNumberFormat="1" applyFont="1" applyFill="1" applyBorder="1" applyProtection="1">
      <alignment/>
      <protection/>
    </xf>
    <xf numFmtId="165" fontId="10" fillId="6" borderId="2" xfId="20" applyFont="1" applyFill="1" applyBorder="1" applyProtection="1">
      <alignment/>
      <protection/>
    </xf>
    <xf numFmtId="165" fontId="8" fillId="0" borderId="0" xfId="20" applyFont="1">
      <alignment/>
      <protection/>
    </xf>
    <xf numFmtId="165" fontId="10" fillId="0" borderId="1" xfId="20" applyFont="1" applyFill="1" applyBorder="1" applyProtection="1">
      <alignment/>
      <protection/>
    </xf>
    <xf numFmtId="165" fontId="10" fillId="0" borderId="7" xfId="0" applyNumberFormat="1" applyFont="1" applyFill="1" applyBorder="1" applyAlignment="1" applyProtection="1">
      <alignment horizontal="center"/>
      <protection locked="0"/>
    </xf>
    <xf numFmtId="165" fontId="8" fillId="0" borderId="15" xfId="20" applyNumberFormat="1" applyFont="1" applyBorder="1" applyAlignment="1" applyProtection="1">
      <alignment horizontal="center"/>
      <protection/>
    </xf>
    <xf numFmtId="165" fontId="8" fillId="0" borderId="16" xfId="20" applyNumberFormat="1" applyFont="1" applyBorder="1" applyAlignment="1" applyProtection="1">
      <alignment horizontal="center"/>
      <protection/>
    </xf>
    <xf numFmtId="165" fontId="8" fillId="0" borderId="17" xfId="20" applyNumberFormat="1" applyFont="1" applyBorder="1" applyAlignment="1" applyProtection="1">
      <alignment horizontal="center"/>
      <protection/>
    </xf>
    <xf numFmtId="165" fontId="8" fillId="0" borderId="15" xfId="20" applyNumberFormat="1" applyFont="1" applyBorder="1" applyProtection="1">
      <alignment/>
      <protection/>
    </xf>
    <xf numFmtId="165" fontId="8" fillId="0" borderId="16" xfId="20" applyNumberFormat="1" applyFont="1" applyBorder="1" applyProtection="1">
      <alignment/>
      <protection/>
    </xf>
    <xf numFmtId="165" fontId="8" fillId="0" borderId="17" xfId="20" applyNumberFormat="1" applyFont="1" applyBorder="1" applyProtection="1">
      <alignment/>
      <protection/>
    </xf>
    <xf numFmtId="165" fontId="8" fillId="0" borderId="16" xfId="20" applyNumberFormat="1" applyFont="1" applyFill="1" applyBorder="1" applyProtection="1">
      <alignment/>
      <protection/>
    </xf>
    <xf numFmtId="165" fontId="8" fillId="0" borderId="0" xfId="20" applyFont="1" applyFill="1" applyProtection="1">
      <alignment/>
      <protection/>
    </xf>
    <xf numFmtId="164" fontId="8" fillId="0" borderId="0" xfId="20" applyNumberFormat="1" applyFont="1" applyFill="1" applyBorder="1" applyProtection="1">
      <alignment/>
      <protection/>
    </xf>
    <xf numFmtId="165" fontId="8" fillId="6" borderId="13" xfId="20" applyFont="1" applyFill="1" applyBorder="1" applyProtection="1">
      <alignment/>
      <protection/>
    </xf>
    <xf numFmtId="165" fontId="10" fillId="6" borderId="14" xfId="20" applyFont="1" applyFill="1" applyBorder="1" applyProtection="1">
      <alignment/>
      <protection/>
    </xf>
    <xf numFmtId="165" fontId="10" fillId="6" borderId="12" xfId="20" applyFont="1" applyFill="1" applyBorder="1" applyProtection="1">
      <alignment/>
      <protection/>
    </xf>
    <xf numFmtId="174" fontId="8" fillId="6" borderId="15" xfId="20" applyNumberFormat="1" applyFont="1" applyFill="1" applyBorder="1" applyProtection="1">
      <alignment/>
      <protection/>
    </xf>
    <xf numFmtId="165" fontId="10" fillId="0" borderId="14" xfId="0" applyNumberFormat="1" applyFont="1" applyFill="1" applyBorder="1" applyAlignment="1" applyProtection="1">
      <alignment horizontal="center"/>
      <protection/>
    </xf>
    <xf numFmtId="165" fontId="10" fillId="0" borderId="12" xfId="0" applyNumberFormat="1" applyFont="1" applyFill="1" applyBorder="1" applyAlignment="1" applyProtection="1">
      <alignment horizontal="center"/>
      <protection/>
    </xf>
    <xf numFmtId="165" fontId="12" fillId="0" borderId="0" xfId="20" applyFont="1" applyFill="1" applyAlignment="1" applyProtection="1">
      <alignment horizontal="center"/>
      <protection/>
    </xf>
    <xf numFmtId="165" fontId="9" fillId="0" borderId="0" xfId="20" applyFont="1" applyFill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B_TR10" xfId="20"/>
    <cellStyle name="Percent" xfId="21"/>
    <cellStyle name="Followed Hyperlink" xfId="22"/>
  </cellStyles>
  <dxfs count="4">
    <dxf>
      <fill>
        <patternFill>
          <bgColor rgb="FF000000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RowColHeaders="0" showZeros="0" tabSelected="1" workbookViewId="0" topLeftCell="A1">
      <selection activeCell="G2" sqref="G2"/>
    </sheetView>
  </sheetViews>
  <sheetFormatPr defaultColWidth="9.00390625" defaultRowHeight="12.75"/>
  <cols>
    <col min="1" max="1" width="12.75390625" style="14" customWidth="1"/>
    <col min="2" max="2" width="17.75390625" style="14" customWidth="1"/>
    <col min="3" max="3" width="11.75390625" style="14" customWidth="1"/>
    <col min="4" max="4" width="13.75390625" style="14" customWidth="1"/>
    <col min="5" max="5" width="1.75390625" style="14" customWidth="1"/>
    <col min="6" max="6" width="6.75390625" style="3" customWidth="1"/>
    <col min="7" max="7" width="12.75390625" style="3" customWidth="1"/>
    <col min="8" max="8" width="11.75390625" style="3" customWidth="1"/>
    <col min="9" max="9" width="10.75390625" style="8" customWidth="1"/>
    <col min="10" max="10" width="11.75390625" style="75" customWidth="1"/>
    <col min="11" max="12" width="10.75390625" style="75" bestFit="1" customWidth="1"/>
    <col min="13" max="15" width="10.75390625" style="75" hidden="1" customWidth="1"/>
    <col min="16" max="18" width="9.125" style="3" hidden="1" customWidth="1"/>
    <col min="19" max="16384" width="9.125" style="3" customWidth="1"/>
  </cols>
  <sheetData>
    <row r="1" spans="1:18" ht="15" customHeight="1">
      <c r="A1" s="1"/>
      <c r="B1" s="132" t="s">
        <v>0</v>
      </c>
      <c r="C1" s="132"/>
      <c r="D1" s="132"/>
      <c r="E1" s="132"/>
      <c r="F1" s="132"/>
      <c r="G1" s="132"/>
      <c r="H1" s="132"/>
      <c r="I1" s="132"/>
      <c r="J1" s="2"/>
      <c r="M1" s="87" t="s">
        <v>57</v>
      </c>
      <c r="N1" s="87" t="s">
        <v>57</v>
      </c>
      <c r="O1" s="87" t="s">
        <v>57</v>
      </c>
      <c r="P1" s="87" t="s">
        <v>57</v>
      </c>
      <c r="Q1" s="87" t="s">
        <v>57</v>
      </c>
      <c r="R1" s="86"/>
    </row>
    <row r="2" spans="1:10" ht="15">
      <c r="A2" s="4"/>
      <c r="B2" s="4"/>
      <c r="C2" s="4"/>
      <c r="D2" s="4"/>
      <c r="E2" s="4"/>
      <c r="F2" s="5" t="s">
        <v>1</v>
      </c>
      <c r="G2" s="6">
        <v>2010</v>
      </c>
      <c r="H2" s="7">
        <f>IF(OR(RP&lt;2004,RP&gt;2010),"Pro tento rok zde nelze spočítat","")</f>
      </c>
      <c r="J2" s="4"/>
    </row>
    <row r="3" spans="1:17" ht="15">
      <c r="A3" s="131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P3" s="9">
        <f>1+IF(AND(SUM($D$10:$D$11)&gt;0,OR($D$18&gt;0,AND($D$19&gt;0,RP&lt;2007))),1,IF(AND(D18&gt;0,D19&gt;0,RP&lt;2007),2,0))</f>
        <v>1</v>
      </c>
      <c r="Q3" s="3" t="s">
        <v>4</v>
      </c>
    </row>
    <row r="4" spans="1:15" ht="6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80"/>
      <c r="L4" s="80"/>
      <c r="M4" s="80"/>
      <c r="N4" s="80"/>
      <c r="O4" s="80"/>
    </row>
    <row r="5" spans="1:16" ht="15">
      <c r="A5" s="114" t="s">
        <v>66</v>
      </c>
      <c r="B5" s="12"/>
      <c r="C5" s="12"/>
      <c r="D5" s="13"/>
      <c r="F5" s="15" t="s">
        <v>5</v>
      </c>
      <c r="G5" s="16" t="s">
        <v>6</v>
      </c>
      <c r="H5" s="17" t="s">
        <v>7</v>
      </c>
      <c r="I5" s="18" t="s">
        <v>8</v>
      </c>
      <c r="J5" s="19" t="s">
        <v>9</v>
      </c>
      <c r="K5" s="81" t="s">
        <v>48</v>
      </c>
      <c r="L5" s="88" t="s">
        <v>49</v>
      </c>
      <c r="M5" s="116" t="s">
        <v>51</v>
      </c>
      <c r="N5" s="81" t="s">
        <v>51</v>
      </c>
      <c r="O5" s="88" t="s">
        <v>55</v>
      </c>
      <c r="P5" s="20" t="s">
        <v>10</v>
      </c>
    </row>
    <row r="6" spans="1:16" ht="15">
      <c r="A6" s="21" t="s">
        <v>11</v>
      </c>
      <c r="B6" s="22"/>
      <c r="C6" s="22"/>
      <c r="D6" s="23"/>
      <c r="F6" s="24" t="s">
        <v>12</v>
      </c>
      <c r="G6" s="25" t="s">
        <v>13</v>
      </c>
      <c r="H6" s="26" t="s">
        <v>14</v>
      </c>
      <c r="I6" s="27" t="s">
        <v>15</v>
      </c>
      <c r="J6" s="28" t="s">
        <v>16</v>
      </c>
      <c r="K6" s="82" t="s">
        <v>16</v>
      </c>
      <c r="L6" s="89" t="s">
        <v>50</v>
      </c>
      <c r="M6" s="117" t="s">
        <v>52</v>
      </c>
      <c r="N6" s="82" t="s">
        <v>52</v>
      </c>
      <c r="O6" s="89" t="s">
        <v>56</v>
      </c>
      <c r="P6" s="20" t="s">
        <v>17</v>
      </c>
    </row>
    <row r="7" spans="1:15" ht="15.75" thickBot="1">
      <c r="A7" s="29"/>
      <c r="B7" s="30"/>
      <c r="C7" s="31" t="s">
        <v>18</v>
      </c>
      <c r="D7" s="32"/>
      <c r="F7" s="33"/>
      <c r="G7" s="34" t="s">
        <v>19</v>
      </c>
      <c r="H7" s="35" t="s">
        <v>20</v>
      </c>
      <c r="I7" s="36" t="s">
        <v>2</v>
      </c>
      <c r="J7" s="37" t="s">
        <v>13</v>
      </c>
      <c r="K7" s="83" t="s">
        <v>13</v>
      </c>
      <c r="L7" s="93">
        <f>VLOOKUP(RP-2,MTC,6)*VLOOKUP(RP-2,MTC,7)</f>
        <v>23708.352</v>
      </c>
      <c r="M7" s="118" t="s">
        <v>53</v>
      </c>
      <c r="N7" s="83" t="s">
        <v>54</v>
      </c>
      <c r="O7" s="90"/>
    </row>
    <row r="8" spans="1:16" ht="15">
      <c r="A8" s="29" t="s">
        <v>64</v>
      </c>
      <c r="B8" s="30"/>
      <c r="C8" s="30"/>
      <c r="D8" s="23"/>
      <c r="F8" s="96">
        <v>1986</v>
      </c>
      <c r="G8" s="97"/>
      <c r="H8" s="98"/>
      <c r="I8" s="99">
        <f aca="true" t="shared" si="0" ref="I8:I30">IF(F8=RP-1,1,ROUND($L$7/K8,4))</f>
        <v>7.9988</v>
      </c>
      <c r="J8" s="100">
        <f>CEILING($G8*I8,1)</f>
        <v>0</v>
      </c>
      <c r="K8" s="101">
        <v>2964</v>
      </c>
      <c r="L8" s="102"/>
      <c r="M8" s="119"/>
      <c r="N8" s="101"/>
      <c r="O8" s="102"/>
      <c r="P8" s="3" t="s">
        <v>21</v>
      </c>
    </row>
    <row r="9" spans="1:16" ht="15">
      <c r="A9" s="29" t="s">
        <v>67</v>
      </c>
      <c r="B9" s="30"/>
      <c r="C9" s="30"/>
      <c r="D9" s="23"/>
      <c r="F9" s="38">
        <f aca="true" t="shared" si="1" ref="F9:F26">F8+1</f>
        <v>1987</v>
      </c>
      <c r="G9" s="39"/>
      <c r="H9" s="40"/>
      <c r="I9" s="41">
        <f t="shared" si="0"/>
        <v>7.8349</v>
      </c>
      <c r="J9" s="42">
        <f aca="true" t="shared" si="2" ref="J9:J31">CEILING($G9*I9,1)</f>
        <v>0</v>
      </c>
      <c r="K9" s="84">
        <v>3026</v>
      </c>
      <c r="L9" s="91"/>
      <c r="M9" s="120"/>
      <c r="N9" s="84"/>
      <c r="O9" s="91"/>
      <c r="P9" s="3" t="s">
        <v>23</v>
      </c>
    </row>
    <row r="10" spans="1:16" ht="15">
      <c r="A10" s="29" t="s">
        <v>22</v>
      </c>
      <c r="B10" s="30"/>
      <c r="C10" s="31" t="s">
        <v>68</v>
      </c>
      <c r="D10" s="32"/>
      <c r="F10" s="38">
        <f t="shared" si="1"/>
        <v>1988</v>
      </c>
      <c r="G10" s="39"/>
      <c r="H10" s="40"/>
      <c r="I10" s="41">
        <f t="shared" si="0"/>
        <v>7.6602</v>
      </c>
      <c r="J10" s="42">
        <f t="shared" si="2"/>
        <v>0</v>
      </c>
      <c r="K10" s="84">
        <v>3095</v>
      </c>
      <c r="L10" s="91"/>
      <c r="M10" s="120"/>
      <c r="N10" s="84"/>
      <c r="O10" s="91"/>
      <c r="P10" s="3" t="s">
        <v>25</v>
      </c>
    </row>
    <row r="11" spans="1:16" ht="15">
      <c r="A11" s="29" t="s">
        <v>24</v>
      </c>
      <c r="B11" s="30"/>
      <c r="C11" s="31" t="s">
        <v>69</v>
      </c>
      <c r="D11" s="32"/>
      <c r="F11" s="38">
        <f t="shared" si="1"/>
        <v>1989</v>
      </c>
      <c r="G11" s="39"/>
      <c r="H11" s="40"/>
      <c r="I11" s="41">
        <f t="shared" si="0"/>
        <v>7.479</v>
      </c>
      <c r="J11" s="42">
        <f t="shared" si="2"/>
        <v>0</v>
      </c>
      <c r="K11" s="84">
        <v>3170</v>
      </c>
      <c r="L11" s="91"/>
      <c r="M11" s="120"/>
      <c r="N11" s="84"/>
      <c r="O11" s="91"/>
      <c r="P11" s="3" t="s">
        <v>26</v>
      </c>
    </row>
    <row r="12" spans="1:16" ht="15.75" thickBot="1">
      <c r="A12" s="29" t="str">
        <f>IF(RP&gt;2009," při pobírání 1/2 důchodu - počet pololetí (ukončených 180 dnů","")</f>
        <v> při pobírání 1/2 důchodu - počet pololetí (ukončených 180 dnů</v>
      </c>
      <c r="B12" s="30"/>
      <c r="C12" s="31"/>
      <c r="D12" s="115"/>
      <c r="F12" s="43">
        <f t="shared" si="1"/>
        <v>1990</v>
      </c>
      <c r="G12" s="44"/>
      <c r="H12" s="45"/>
      <c r="I12" s="46">
        <f t="shared" si="0"/>
        <v>7.215</v>
      </c>
      <c r="J12" s="47">
        <f t="shared" si="2"/>
        <v>0</v>
      </c>
      <c r="K12" s="85">
        <v>3286</v>
      </c>
      <c r="L12" s="92"/>
      <c r="M12" s="121"/>
      <c r="N12" s="85"/>
      <c r="O12" s="92"/>
      <c r="P12" s="3" t="s">
        <v>28</v>
      </c>
    </row>
    <row r="13" spans="1:16" ht="15">
      <c r="A13" s="29" t="str">
        <f>IF(RP&gt;2009,"    po 1.1.2010)","")</f>
        <v>    po 1.1.2010)</v>
      </c>
      <c r="B13" s="30"/>
      <c r="C13" s="31" t="str">
        <f>IF(RP&gt;2009,"zvýšení sazby o 1,5%","")</f>
        <v>zvýšení sazby o 1,5%</v>
      </c>
      <c r="D13" s="32"/>
      <c r="F13" s="38">
        <f t="shared" si="1"/>
        <v>1991</v>
      </c>
      <c r="G13" s="39"/>
      <c r="H13" s="40"/>
      <c r="I13" s="41">
        <f t="shared" si="0"/>
        <v>6.2522</v>
      </c>
      <c r="J13" s="42">
        <f t="shared" si="2"/>
        <v>0</v>
      </c>
      <c r="K13" s="84">
        <v>3792</v>
      </c>
      <c r="L13" s="91"/>
      <c r="M13" s="120"/>
      <c r="N13" s="84"/>
      <c r="O13" s="91"/>
      <c r="P13" s="3" t="s">
        <v>29</v>
      </c>
    </row>
    <row r="14" spans="1:16" ht="15">
      <c r="A14" s="29" t="str">
        <f>IF(RP&gt;2009," při pobírání plného důchodu - počet roků (ukončených 360 dnů","")</f>
        <v> při pobírání plného důchodu - počet roků (ukončených 360 dnů</v>
      </c>
      <c r="B14" s="30"/>
      <c r="C14" s="31"/>
      <c r="D14" s="115"/>
      <c r="F14" s="38">
        <f t="shared" si="1"/>
        <v>1992</v>
      </c>
      <c r="G14" s="39"/>
      <c r="H14" s="40"/>
      <c r="I14" s="41">
        <f t="shared" si="0"/>
        <v>5.1052</v>
      </c>
      <c r="J14" s="42">
        <f t="shared" si="2"/>
        <v>0</v>
      </c>
      <c r="K14" s="84">
        <v>4644</v>
      </c>
      <c r="L14" s="91"/>
      <c r="M14" s="120"/>
      <c r="N14" s="84"/>
      <c r="O14" s="91"/>
      <c r="P14" s="3" t="s">
        <v>30</v>
      </c>
    </row>
    <row r="15" spans="1:16" ht="15">
      <c r="A15" s="29" t="str">
        <f>IF(RP&gt;2009,"    po 1.1.2010)","")</f>
        <v>    po 1.1.2010)</v>
      </c>
      <c r="B15" s="30"/>
      <c r="C15" s="31" t="str">
        <f>IF(RP&gt;2009,"zvýšení sazby o 0,4%","")</f>
        <v>zvýšení sazby o 0,4%</v>
      </c>
      <c r="D15" s="32"/>
      <c r="E15" s="49"/>
      <c r="F15" s="38">
        <f t="shared" si="1"/>
        <v>1993</v>
      </c>
      <c r="G15" s="39"/>
      <c r="H15" s="40"/>
      <c r="I15" s="41">
        <f t="shared" si="0"/>
        <v>4.0757</v>
      </c>
      <c r="J15" s="42">
        <f t="shared" si="2"/>
        <v>0</v>
      </c>
      <c r="K15" s="84">
        <v>5817</v>
      </c>
      <c r="L15" s="91"/>
      <c r="M15" s="120"/>
      <c r="N15" s="84"/>
      <c r="O15" s="91"/>
      <c r="P15" s="3" t="s">
        <v>58</v>
      </c>
    </row>
    <row r="16" spans="1:15" ht="15">
      <c r="A16" s="29" t="s">
        <v>65</v>
      </c>
      <c r="B16" s="30"/>
      <c r="C16" s="30"/>
      <c r="D16" s="23"/>
      <c r="E16" s="51"/>
      <c r="F16" s="38">
        <f t="shared" si="1"/>
        <v>1994</v>
      </c>
      <c r="G16" s="39"/>
      <c r="H16" s="40"/>
      <c r="I16" s="41">
        <f t="shared" si="0"/>
        <v>3.438</v>
      </c>
      <c r="J16" s="42">
        <f t="shared" si="2"/>
        <v>0</v>
      </c>
      <c r="K16" s="84">
        <v>6896</v>
      </c>
      <c r="L16" s="94">
        <v>1.1914</v>
      </c>
      <c r="M16" s="120"/>
      <c r="N16" s="84"/>
      <c r="O16" s="91"/>
    </row>
    <row r="17" spans="1:15" ht="15.75" thickBot="1">
      <c r="A17" s="29" t="s">
        <v>27</v>
      </c>
      <c r="B17" s="30"/>
      <c r="C17" s="30"/>
      <c r="D17" s="23"/>
      <c r="E17" s="52"/>
      <c r="F17" s="43">
        <f t="shared" si="1"/>
        <v>1995</v>
      </c>
      <c r="G17" s="44"/>
      <c r="H17" s="45"/>
      <c r="I17" s="46">
        <f t="shared" si="0"/>
        <v>2.9012</v>
      </c>
      <c r="J17" s="47">
        <f t="shared" si="2"/>
        <v>0</v>
      </c>
      <c r="K17" s="85">
        <v>8172</v>
      </c>
      <c r="L17" s="95">
        <v>1.1978</v>
      </c>
      <c r="M17" s="121"/>
      <c r="N17" s="85"/>
      <c r="O17" s="92"/>
    </row>
    <row r="18" spans="1:17" ht="15">
      <c r="A18" s="29" t="s">
        <v>70</v>
      </c>
      <c r="B18" s="30"/>
      <c r="C18" s="31" t="str">
        <f>"snížení sazby o "&amp;IF(RP&lt;2002,"0,6%","0,9%"&amp;IF(RP&gt;2009," a 1,5%",""))</f>
        <v>snížení sazby o 0,9% a 1,5%</v>
      </c>
      <c r="D18" s="32"/>
      <c r="E18" s="52"/>
      <c r="F18" s="38">
        <f t="shared" si="1"/>
        <v>1996</v>
      </c>
      <c r="G18" s="39"/>
      <c r="H18" s="40"/>
      <c r="I18" s="41">
        <f t="shared" si="0"/>
        <v>2.4502</v>
      </c>
      <c r="J18" s="42">
        <f t="shared" si="2"/>
        <v>0</v>
      </c>
      <c r="K18" s="84">
        <v>9676</v>
      </c>
      <c r="L18" s="94">
        <v>1.1194</v>
      </c>
      <c r="M18" s="120">
        <v>5000</v>
      </c>
      <c r="N18" s="84">
        <v>10000</v>
      </c>
      <c r="O18" s="91">
        <v>680</v>
      </c>
      <c r="Q18" s="113"/>
    </row>
    <row r="19" spans="1:17" ht="15">
      <c r="A19" s="29">
        <f>IF(RP&lt;2007,"dočasně krácené (§ 30)","")</f>
      </c>
      <c r="B19" s="30"/>
      <c r="C19" s="31">
        <f>IF(RP&gt;2006,"","snížení sazby o "&amp;IF(RP&lt;2002,"1,0%","1,3%"))</f>
      </c>
      <c r="D19" s="32"/>
      <c r="E19" s="52"/>
      <c r="F19" s="38">
        <f t="shared" si="1"/>
        <v>1997</v>
      </c>
      <c r="G19" s="39"/>
      <c r="H19" s="40"/>
      <c r="I19" s="41">
        <f t="shared" si="0"/>
        <v>2.2166</v>
      </c>
      <c r="J19" s="42">
        <f t="shared" si="2"/>
        <v>0</v>
      </c>
      <c r="K19" s="84">
        <v>10696</v>
      </c>
      <c r="L19" s="94">
        <v>1.0891</v>
      </c>
      <c r="M19" s="120">
        <v>5600</v>
      </c>
      <c r="N19" s="84">
        <v>11200</v>
      </c>
      <c r="O19" s="91">
        <v>1060</v>
      </c>
      <c r="Q19" s="3" t="s">
        <v>62</v>
      </c>
    </row>
    <row r="20" spans="1:17" ht="15">
      <c r="A20" s="48" t="s">
        <v>31</v>
      </c>
      <c r="B20" s="30"/>
      <c r="C20" s="30"/>
      <c r="D20" s="23"/>
      <c r="E20" s="52"/>
      <c r="F20" s="38">
        <f t="shared" si="1"/>
        <v>1998</v>
      </c>
      <c r="G20" s="39"/>
      <c r="H20" s="40"/>
      <c r="I20" s="41">
        <f t="shared" si="0"/>
        <v>2.0276</v>
      </c>
      <c r="J20" s="42">
        <f t="shared" si="2"/>
        <v>0</v>
      </c>
      <c r="K20" s="84">
        <v>11693</v>
      </c>
      <c r="L20" s="94">
        <v>1.085</v>
      </c>
      <c r="M20" s="120">
        <v>5900</v>
      </c>
      <c r="N20" s="84">
        <v>11800</v>
      </c>
      <c r="O20" s="91">
        <v>1260</v>
      </c>
      <c r="Q20" s="113" t="s">
        <v>63</v>
      </c>
    </row>
    <row r="21" spans="1:17" ht="15">
      <c r="A21" s="29" t="s">
        <v>32</v>
      </c>
      <c r="B21" s="30"/>
      <c r="C21" s="30"/>
      <c r="D21" s="50">
        <f>ROUND(D7,0)*0.015</f>
        <v>0</v>
      </c>
      <c r="E21" s="59"/>
      <c r="F21" s="38">
        <f t="shared" si="1"/>
        <v>1999</v>
      </c>
      <c r="G21" s="39"/>
      <c r="H21" s="40"/>
      <c r="I21" s="41">
        <f t="shared" si="0"/>
        <v>1.8734</v>
      </c>
      <c r="J21" s="42">
        <f t="shared" si="2"/>
        <v>0</v>
      </c>
      <c r="K21" s="84">
        <v>12655</v>
      </c>
      <c r="L21" s="94">
        <v>1.062</v>
      </c>
      <c r="M21" s="120">
        <v>6100</v>
      </c>
      <c r="N21" s="84">
        <v>13000</v>
      </c>
      <c r="O21" s="91">
        <v>1310</v>
      </c>
      <c r="Q21" s="113" t="s">
        <v>60</v>
      </c>
    </row>
    <row r="22" spans="1:17" ht="15.75" thickBot="1">
      <c r="A22" s="29" t="s">
        <v>33</v>
      </c>
      <c r="B22" s="30"/>
      <c r="C22" s="30"/>
      <c r="D22" s="50">
        <f>ROUND(D10,0)*0.01+ROUND(D11,0)*0.015+IF(RP&lt;2010,0,ROUND(D13,0)*0.015+ROUND(D15,0)*0.004)</f>
        <v>0</v>
      </c>
      <c r="E22" s="52"/>
      <c r="F22" s="43">
        <f t="shared" si="1"/>
        <v>2000</v>
      </c>
      <c r="G22" s="44"/>
      <c r="H22" s="45"/>
      <c r="I22" s="46">
        <f t="shared" si="0"/>
        <v>1.7575</v>
      </c>
      <c r="J22" s="47">
        <f t="shared" si="2"/>
        <v>0</v>
      </c>
      <c r="K22" s="85">
        <v>13490</v>
      </c>
      <c r="L22" s="95">
        <v>1.0942</v>
      </c>
      <c r="M22" s="121">
        <v>6300</v>
      </c>
      <c r="N22" s="85">
        <v>14200</v>
      </c>
      <c r="O22" s="92">
        <v>1310</v>
      </c>
      <c r="Q22" s="113" t="s">
        <v>61</v>
      </c>
    </row>
    <row r="23" spans="1:17" ht="15">
      <c r="A23" s="29" t="s">
        <v>34</v>
      </c>
      <c r="B23" s="30"/>
      <c r="C23" s="124">
        <f>ROUND(D18,0)</f>
        <v>0</v>
      </c>
      <c r="D23" s="50">
        <f>-IF(RP&lt;2010,C23*IF(RP&lt;2002,0.006,0.009),MIN(8,C23)*0.009+MAX(0,C23-8)*0.015)-IF(RP&gt;2006,0,ROUND(D19,0)*IF(RP&lt;2002,0.01,0.013))</f>
        <v>0</v>
      </c>
      <c r="E23" s="51"/>
      <c r="F23" s="38">
        <f t="shared" si="1"/>
        <v>2001</v>
      </c>
      <c r="G23" s="39"/>
      <c r="H23" s="40"/>
      <c r="I23" s="41">
        <f t="shared" si="0"/>
        <v>1.6194</v>
      </c>
      <c r="J23" s="42">
        <f t="shared" si="2"/>
        <v>0</v>
      </c>
      <c r="K23" s="84">
        <v>14640</v>
      </c>
      <c r="L23" s="94">
        <v>1.0693</v>
      </c>
      <c r="M23" s="120">
        <v>6600</v>
      </c>
      <c r="N23" s="84">
        <v>15300</v>
      </c>
      <c r="O23" s="91">
        <v>1310</v>
      </c>
      <c r="Q23" s="3" t="s">
        <v>59</v>
      </c>
    </row>
    <row r="24" spans="1:15" ht="15.75" thickBot="1">
      <c r="A24" s="53"/>
      <c r="B24" s="54"/>
      <c r="C24" s="54" t="s">
        <v>35</v>
      </c>
      <c r="D24" s="55">
        <f>SUM(D21:D23)</f>
        <v>0</v>
      </c>
      <c r="F24" s="38">
        <f t="shared" si="1"/>
        <v>2002</v>
      </c>
      <c r="G24" s="39"/>
      <c r="H24" s="40"/>
      <c r="I24" s="41">
        <f t="shared" si="0"/>
        <v>1.509</v>
      </c>
      <c r="J24" s="42">
        <f t="shared" si="2"/>
        <v>0</v>
      </c>
      <c r="K24" s="84">
        <v>15711</v>
      </c>
      <c r="L24" s="94">
        <v>1.0717</v>
      </c>
      <c r="M24" s="120">
        <v>7100</v>
      </c>
      <c r="N24" s="84">
        <v>16800</v>
      </c>
      <c r="O24" s="91">
        <v>1310</v>
      </c>
    </row>
    <row r="25" spans="1:15" ht="15">
      <c r="A25" s="11" t="str">
        <f>" Stanovení výpočtového základu v roce "&amp;RP</f>
        <v> Stanovení výpočtového základu v roce 2010</v>
      </c>
      <c r="B25" s="12"/>
      <c r="C25" s="12"/>
      <c r="D25" s="56"/>
      <c r="F25" s="38">
        <f t="shared" si="1"/>
        <v>2003</v>
      </c>
      <c r="G25" s="39"/>
      <c r="H25" s="40"/>
      <c r="I25" s="41">
        <f t="shared" si="0"/>
        <v>1.4138</v>
      </c>
      <c r="J25" s="42">
        <f t="shared" si="2"/>
        <v>0</v>
      </c>
      <c r="K25" s="84">
        <v>16769</v>
      </c>
      <c r="L25" s="94">
        <v>1.0665</v>
      </c>
      <c r="M25" s="120">
        <v>7400</v>
      </c>
      <c r="N25" s="84">
        <v>17900</v>
      </c>
      <c r="O25" s="91">
        <v>1310</v>
      </c>
    </row>
    <row r="26" spans="1:15" ht="15">
      <c r="A26" s="29" t="s">
        <v>36</v>
      </c>
      <c r="B26" s="30"/>
      <c r="C26" s="57" t="s">
        <v>37</v>
      </c>
      <c r="D26" s="58">
        <f>RP-1</f>
        <v>2009</v>
      </c>
      <c r="F26" s="38">
        <f t="shared" si="1"/>
        <v>2004</v>
      </c>
      <c r="G26" s="39"/>
      <c r="H26" s="40"/>
      <c r="I26" s="41">
        <f t="shared" si="0"/>
        <v>1.3258</v>
      </c>
      <c r="J26" s="42">
        <f t="shared" si="2"/>
        <v>0</v>
      </c>
      <c r="K26" s="84">
        <v>17882</v>
      </c>
      <c r="L26" s="94">
        <v>1.0532</v>
      </c>
      <c r="M26" s="120">
        <v>7500</v>
      </c>
      <c r="N26" s="84">
        <v>19200</v>
      </c>
      <c r="O26" s="91">
        <v>1310</v>
      </c>
    </row>
    <row r="27" spans="1:15" ht="15.75" thickBot="1">
      <c r="A27" s="21" t="s">
        <v>38</v>
      </c>
      <c r="B27" s="60"/>
      <c r="C27" s="60"/>
      <c r="D27" s="61">
        <f ca="1">SUM(OFFSET(J8,0,0,D30))</f>
        <v>0</v>
      </c>
      <c r="F27" s="43">
        <f aca="true" t="shared" si="3" ref="F27:F32">F26+1</f>
        <v>2005</v>
      </c>
      <c r="G27" s="44"/>
      <c r="H27" s="45"/>
      <c r="I27" s="46">
        <f t="shared" si="0"/>
        <v>1.2605</v>
      </c>
      <c r="J27" s="47">
        <f t="shared" si="2"/>
        <v>0</v>
      </c>
      <c r="K27" s="85">
        <v>18809</v>
      </c>
      <c r="L27" s="95">
        <v>1.0707</v>
      </c>
      <c r="M27" s="121">
        <v>8400</v>
      </c>
      <c r="N27" s="85">
        <v>20500</v>
      </c>
      <c r="O27" s="92">
        <v>1400</v>
      </c>
    </row>
    <row r="28" spans="1:15" ht="15">
      <c r="A28" s="21" t="s">
        <v>39</v>
      </c>
      <c r="B28" s="62" t="s">
        <v>40</v>
      </c>
      <c r="C28" s="63">
        <f>DATE(D26,12,31)-DATE(1986,1,1)+1</f>
        <v>8766</v>
      </c>
      <c r="D28" s="23"/>
      <c r="F28" s="38">
        <f t="shared" si="3"/>
        <v>2006</v>
      </c>
      <c r="G28" s="39"/>
      <c r="H28" s="40"/>
      <c r="I28" s="41">
        <f t="shared" si="0"/>
        <v>1.1825</v>
      </c>
      <c r="J28" s="42">
        <f t="shared" si="2"/>
        <v>0</v>
      </c>
      <c r="K28" s="84">
        <v>20050</v>
      </c>
      <c r="L28" s="94">
        <v>1.0753</v>
      </c>
      <c r="M28" s="120">
        <v>9100</v>
      </c>
      <c r="N28" s="84">
        <v>21800</v>
      </c>
      <c r="O28" s="91">
        <v>1470</v>
      </c>
    </row>
    <row r="29" spans="1:15" ht="15">
      <c r="A29" s="21"/>
      <c r="B29" s="62" t="s">
        <v>41</v>
      </c>
      <c r="C29" s="63">
        <f ca="1">SUM(OFFSET(H8,0,0,D30))</f>
        <v>0</v>
      </c>
      <c r="D29" s="23"/>
      <c r="F29" s="38">
        <f t="shared" si="3"/>
        <v>2007</v>
      </c>
      <c r="G29" s="39"/>
      <c r="H29" s="40"/>
      <c r="I29" s="41">
        <f t="shared" si="0"/>
        <v>1.1013</v>
      </c>
      <c r="J29" s="42">
        <f t="shared" si="2"/>
        <v>0</v>
      </c>
      <c r="K29" s="84">
        <v>21527</v>
      </c>
      <c r="L29" s="94">
        <v>1.0942</v>
      </c>
      <c r="M29" s="122">
        <v>9600</v>
      </c>
      <c r="N29" s="103">
        <v>23300</v>
      </c>
      <c r="O29" s="104">
        <v>1570</v>
      </c>
    </row>
    <row r="30" spans="1:15" ht="15">
      <c r="A30" s="21" t="s">
        <v>42</v>
      </c>
      <c r="B30" s="60"/>
      <c r="C30" s="63">
        <f>CEILING(D27*30.4167/(C28-C29),1)</f>
        <v>0</v>
      </c>
      <c r="D30" s="64">
        <f>D26-1985</f>
        <v>24</v>
      </c>
      <c r="F30" s="38">
        <f t="shared" si="3"/>
        <v>2008</v>
      </c>
      <c r="G30" s="39"/>
      <c r="H30" s="40"/>
      <c r="I30" s="41">
        <f t="shared" si="0"/>
        <v>1.0184</v>
      </c>
      <c r="J30" s="42">
        <f t="shared" si="2"/>
        <v>0</v>
      </c>
      <c r="K30" s="84">
        <v>23280</v>
      </c>
      <c r="L30" s="94">
        <v>1.0184</v>
      </c>
      <c r="M30" s="122">
        <v>10000</v>
      </c>
      <c r="N30" s="103">
        <v>24800</v>
      </c>
      <c r="O30" s="104">
        <v>2170</v>
      </c>
    </row>
    <row r="31" spans="1:15" ht="15">
      <c r="A31" s="21" t="s">
        <v>43</v>
      </c>
      <c r="B31" s="60"/>
      <c r="C31" s="65">
        <f>VLOOKUP(RP,MTC,8)</f>
        <v>10500</v>
      </c>
      <c r="D31" s="66">
        <f>VLOOKUP(RP,MTC,9)</f>
        <v>27000</v>
      </c>
      <c r="F31" s="38">
        <f t="shared" si="3"/>
        <v>2009</v>
      </c>
      <c r="G31" s="39"/>
      <c r="H31" s="40"/>
      <c r="I31" s="41">
        <f>IF(F31=RP-1,1,ROUND($L$7/K31,4))</f>
        <v>1</v>
      </c>
      <c r="J31" s="42">
        <f t="shared" si="2"/>
        <v>0</v>
      </c>
      <c r="K31" s="84"/>
      <c r="L31" s="94"/>
      <c r="M31" s="122">
        <v>10500</v>
      </c>
      <c r="N31" s="103">
        <v>27000</v>
      </c>
      <c r="O31" s="104">
        <v>2170</v>
      </c>
    </row>
    <row r="32" spans="1:15" ht="15.75" thickBot="1">
      <c r="A32" s="67"/>
      <c r="B32" s="68" t="s">
        <v>44</v>
      </c>
      <c r="C32" s="129">
        <f>CEILING(IF(C30&lt;=C31,C30,C31+IF(C30&lt;=D31,(C30-C31)*0.3,(D31-C31)*0.3+(C30-D31)*0.1)),1)</f>
        <v>0</v>
      </c>
      <c r="D32" s="130"/>
      <c r="F32" s="38">
        <f t="shared" si="3"/>
        <v>2010</v>
      </c>
      <c r="G32" s="39"/>
      <c r="H32" s="40"/>
      <c r="I32" s="41"/>
      <c r="J32" s="42"/>
      <c r="K32" s="84"/>
      <c r="L32" s="94"/>
      <c r="M32" s="109">
        <v>10500</v>
      </c>
      <c r="N32" s="109">
        <v>27000</v>
      </c>
      <c r="O32" s="109">
        <v>2170</v>
      </c>
    </row>
    <row r="33" spans="1:15" ht="3" customHeight="1">
      <c r="A33" s="69" t="str">
        <f>" Výše důchodu přiznaného v roce "&amp;RP</f>
        <v> Výše důchodu přiznaného v roce 2010</v>
      </c>
      <c r="B33" s="70"/>
      <c r="C33" s="70"/>
      <c r="D33" s="71"/>
      <c r="F33" s="105"/>
      <c r="G33" s="112"/>
      <c r="H33" s="111"/>
      <c r="I33" s="128"/>
      <c r="J33" s="107"/>
      <c r="K33" s="107"/>
      <c r="L33" s="106"/>
      <c r="M33" s="107"/>
      <c r="N33" s="107"/>
      <c r="O33" s="107"/>
    </row>
    <row r="34" spans="1:10" ht="15">
      <c r="A34" s="72"/>
      <c r="B34" s="73" t="s">
        <v>45</v>
      </c>
      <c r="C34" s="73"/>
      <c r="D34" s="74">
        <f>VLOOKUP(RP,MTC,10)</f>
        <v>2170</v>
      </c>
      <c r="F34" s="78"/>
      <c r="J34" s="8"/>
    </row>
    <row r="35" spans="1:4" ht="15">
      <c r="A35" s="72"/>
      <c r="B35" s="73" t="s">
        <v>46</v>
      </c>
      <c r="C35" s="73"/>
      <c r="D35" s="74">
        <f>MAX(770,CEILING(C32*D21,1)+CEILING(C32*D22,1)-FLOOR(-C32*D23,1))</f>
        <v>770</v>
      </c>
    </row>
    <row r="36" spans="1:4" ht="15">
      <c r="A36" s="72"/>
      <c r="B36" s="108" t="s">
        <v>47</v>
      </c>
      <c r="C36" s="108"/>
      <c r="D36" s="110">
        <f>D35+D34</f>
        <v>2940</v>
      </c>
    </row>
    <row r="37" spans="1:4" ht="3" customHeight="1" thickBot="1">
      <c r="A37" s="125"/>
      <c r="B37" s="126"/>
      <c r="C37" s="126"/>
      <c r="D37" s="127"/>
    </row>
    <row r="38" ht="15">
      <c r="A38" s="77">
        <f ca="1">OFFSET(P3,P3,0)</f>
        <v>0</v>
      </c>
    </row>
    <row r="39" ht="15">
      <c r="A39" s="79">
        <f>IF(RP&gt;2001,"","Uvedena výše důchodu při jeho přiznání na počátku roku.  Při přiznání po")</f>
      </c>
    </row>
    <row r="40" ht="15">
      <c r="A40" s="79">
        <f ca="1">IF(RP&lt;2002,OFFSET(P8,RP-1995,0),"")</f>
      </c>
    </row>
    <row r="41" spans="1:4" ht="15">
      <c r="A41" s="79">
        <f>IF(RP=1996,P8,"")</f>
      </c>
      <c r="D41" s="123"/>
    </row>
    <row r="42" ht="15">
      <c r="A42" s="76">
        <f>IF(RP=2001,"Po 30.6.2001 bylo snížení u předčasného důchodu 0,9% a 1,3%","")</f>
      </c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</sheetData>
  <sheetProtection password="F2A0" sheet="1" objects="1" scenarios="1" selectLockedCells="1"/>
  <mergeCells count="3">
    <mergeCell ref="C32:D32"/>
    <mergeCell ref="A3:J3"/>
    <mergeCell ref="B1:I1"/>
  </mergeCells>
  <conditionalFormatting sqref="F33:O33">
    <cfRule type="expression" priority="1" dxfId="0" stopIfTrue="1">
      <formula>$F33&gt;=RP</formula>
    </cfRule>
  </conditionalFormatting>
  <conditionalFormatting sqref="F18:O32">
    <cfRule type="expression" priority="2" dxfId="0" stopIfTrue="1">
      <formula>OR($F18&gt;=RP,$F18=0)</formula>
    </cfRule>
  </conditionalFormatting>
  <conditionalFormatting sqref="H2:J2">
    <cfRule type="expression" priority="3" dxfId="1" stopIfTrue="1">
      <formula>$H$2&lt;&gt;""</formula>
    </cfRule>
  </conditionalFormatting>
  <conditionalFormatting sqref="D34:D36">
    <cfRule type="expression" priority="4" dxfId="2" stopIfTrue="1">
      <formula>$P$3&gt;1</formula>
    </cfRule>
  </conditionalFormatting>
  <conditionalFormatting sqref="F8:O17">
    <cfRule type="expression" priority="5" dxfId="0" stopIfTrue="1">
      <formula>RP&lt;1996</formula>
    </cfRule>
  </conditionalFormatting>
  <conditionalFormatting sqref="D7 D10:D11">
    <cfRule type="cellIs" priority="6" dxfId="1" operator="lessThan" stopIfTrue="1">
      <formula>0</formula>
    </cfRule>
  </conditionalFormatting>
  <conditionalFormatting sqref="D18">
    <cfRule type="expression" priority="7" dxfId="1" stopIfTrue="1">
      <formula>OR($D$18&gt;13,$D$18&lt;0)</formula>
    </cfRule>
  </conditionalFormatting>
  <conditionalFormatting sqref="D19">
    <cfRule type="expression" priority="8" dxfId="3" stopIfTrue="1">
      <formula>RP&gt;2006</formula>
    </cfRule>
    <cfRule type="expression" priority="9" dxfId="1" stopIfTrue="1">
      <formula>OR($D$19&gt;9,$D$19&lt;0)</formula>
    </cfRule>
  </conditionalFormatting>
  <conditionalFormatting sqref="D25">
    <cfRule type="expression" priority="10" dxfId="1" stopIfTrue="1">
      <formula>$C$42&gt;MAX($J:$J)+1</formula>
    </cfRule>
  </conditionalFormatting>
  <conditionalFormatting sqref="D13 D15">
    <cfRule type="expression" priority="11" dxfId="3" stopIfTrue="1">
      <formula>RP&lt;2010</formula>
    </cfRule>
    <cfRule type="cellIs" priority="12" dxfId="1" operator="lessThan" stopIfTrue="1">
      <formula>0</formula>
    </cfRule>
  </conditionalFormatting>
  <conditionalFormatting sqref="A38:J38">
    <cfRule type="expression" priority="13" dxfId="1" stopIfTrue="1">
      <formula>$P$3&gt;1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landscape" paperSize="9" scale="92" r:id="rId1"/>
  <headerFooter alignWithMargins="0">
    <oddFooter>&amp;L&amp;"Courier New CE,Kurzíva"&amp;5MPSV - 243 - pb - 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Důchodová kalkulačka</dc:title>
  <dc:subject/>
  <dc:creator>MPSV - 243 - pb - </dc:creator>
  <cp:keywords/>
  <dc:description>Poslední úprava
5/8/2008</dc:description>
  <cp:lastModifiedBy>MPSV_323_pb</cp:lastModifiedBy>
  <cp:lastPrinted>2009-10-04T15:55:00Z</cp:lastPrinted>
  <dcterms:created xsi:type="dcterms:W3CDTF">1998-09-24T06:59:17Z</dcterms:created>
  <dcterms:modified xsi:type="dcterms:W3CDTF">2009-10-04T15:59:58Z</dcterms:modified>
  <cp:category/>
  <cp:version/>
  <cp:contentType/>
  <cp:contentStatus/>
</cp:coreProperties>
</file>